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<sst xmlns="http://schemas.openxmlformats.org/spreadsheetml/2006/main" count="163" uniqueCount="112">
  <si>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</si>
  <si>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</si>
  <si>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</si>
  <si>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</si>
  <si>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</si>
  <si>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</si>
  <si>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</si>
  <si>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</si>
  <si>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</si>
  <si>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</si>
  <si>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</si>
  <si>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</si>
  <si>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</si>
  <si>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</si>
  <si>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</si>
  <si>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</si>
  <si>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</si>
  <si>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</si>
  <si>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</si>
  <si>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</si>
  <si>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</si>
  <si>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</si>
  <si>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</si>
  <si>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</si>
  <si>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</si>
  <si>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</si>
  <si>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</si>
  <si>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</si>
  <si>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</si>
  <si>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</si>
  <si>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</si>
  <si>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</si>
  <si>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</si>
  <si>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</si>
  <si>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</si>
  <si>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</si>
  <si>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</si>
  <si>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</si>
  <si>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</si>
  <si>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</si>
  <si>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</si>
  <si>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</si>
  <si>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</si>
  <si>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</si>
  <si>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</si>
  <si>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</si>
  <si>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</si>
  <si>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</si>
  <si>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</si>
  <si>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</si>
  <si>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</si>
  <si>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</si>
  <si>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</si>
  <si>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</si>
  <si>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</si>
  <si>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</si>
  <si>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</si>
  <si>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</si>
  <si>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</si>
  <si>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</si>
  <si>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</si>
  <si>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</si>
  <si>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</si>
  <si>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</si>
  <si>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</si>
  <si>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</si>
  <si>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</si>
  <si>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</si>
  <si>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</si>
  <si>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</si>
  <si>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</si>
  <si>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</si>
  <si>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</si>
  <si>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</si>
  <si>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</si>
  <si>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</si>
  <si>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</si>
  <si>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</si>
  <si>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</si>
  <si>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</si>
  <si>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</si>
  <si>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</si>
  <si>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</si>
  <si>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</si>
  <si>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</si>
  <si>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</si>
  <si>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</si>
  <si>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</si>
  <si>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</si>
  <si>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</si>
  <si>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</si>
  <si>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</si>
  <si>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</si>
  <si>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</si>
  <si>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</si>
  <si>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</si>
  <si>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</si>
  <si>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</si>
  <si>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</si>
  <si>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</si>
  <si>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</si>
  <si>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</si>
  <si>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</si>
  <si>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</si>
  <si>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</si>
  <si>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</si>
  <si>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</si>
  <si>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</si>
  <si>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</si>
  <si>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</si>
  <si>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Програма розроблнння стратегічного плану розвитку м. Черкаси</t>
  </si>
  <si>
    <t>Аналіз використання коштів загального фонду міського бюджету станом на 20.10.2017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</si>
</sst>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36"/>
          <c:w val="0.856"/>
          <c:h val="0.62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155260.2</c:v>
                </c:pt>
                <c:pt idx="1">
                  <c:v>144079.1</c:v>
                </c:pt>
                <c:pt idx="2">
                  <c:v>2620.6</c:v>
                </c:pt>
                <c:pt idx="3">
                  <c:v>8560.500000000005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108495.80000000003</c:v>
                </c:pt>
                <c:pt idx="1">
                  <c:v>101750.90000000001</c:v>
                </c:pt>
                <c:pt idx="2">
                  <c:v>1485.3000000000002</c:v>
                </c:pt>
                <c:pt idx="3">
                  <c:v>5259.600000000023</c:v>
                </c:pt>
              </c:numCache>
            </c:numRef>
          </c:val>
          <c:shape val="box"/>
        </c:ser>
        <c:shape val="box"/>
        <c:axId val="21016714"/>
        <c:axId val="54932699"/>
      </c:bar3DChart>
      <c:catAx>
        <c:axId val="2101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32699"/>
        <c:crosses val="autoZero"/>
        <c:auto val="1"/>
        <c:lblOffset val="100"/>
        <c:tickLblSkip val="1"/>
        <c:noMultiLvlLbl val="0"/>
      </c:catAx>
      <c:valAx>
        <c:axId val="549326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167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95"/>
          <c:w val="0.28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275"/>
          <c:w val="0.8435"/>
          <c:h val="0.66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649900.8999999999</c:v>
                </c:pt>
                <c:pt idx="1">
                  <c:v>243536.9</c:v>
                </c:pt>
                <c:pt idx="2">
                  <c:v>508871</c:v>
                </c:pt>
                <c:pt idx="3">
                  <c:v>91.3</c:v>
                </c:pt>
                <c:pt idx="4">
                  <c:v>30490.8</c:v>
                </c:pt>
                <c:pt idx="5">
                  <c:v>76720.59999999999</c:v>
                </c:pt>
                <c:pt idx="6">
                  <c:v>13925.7</c:v>
                </c:pt>
                <c:pt idx="7">
                  <c:v>19801.499999999924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464230.39999999997</c:v>
                </c:pt>
                <c:pt idx="1">
                  <c:v>175754.50000000003</c:v>
                </c:pt>
                <c:pt idx="2">
                  <c:v>373349.9999999999</c:v>
                </c:pt>
                <c:pt idx="3">
                  <c:v>44.6</c:v>
                </c:pt>
                <c:pt idx="4">
                  <c:v>23455.199999999997</c:v>
                </c:pt>
                <c:pt idx="5">
                  <c:v>47661.899999999994</c:v>
                </c:pt>
                <c:pt idx="6">
                  <c:v>9713.299999999997</c:v>
                </c:pt>
                <c:pt idx="7">
                  <c:v>10005.400000000087</c:v>
                </c:pt>
              </c:numCache>
            </c:numRef>
          </c:val>
          <c:shape val="box"/>
        </c:ser>
        <c:shape val="box"/>
        <c:axId val="24632244"/>
        <c:axId val="20363605"/>
      </c:bar3DChart>
      <c:catAx>
        <c:axId val="24632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363605"/>
        <c:crosses val="autoZero"/>
        <c:auto val="1"/>
        <c:lblOffset val="100"/>
        <c:tickLblSkip val="1"/>
        <c:noMultiLvlLbl val="0"/>
      </c:catAx>
      <c:valAx>
        <c:axId val="20363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322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3"/>
          <c:w val="0.9295"/>
          <c:h val="0.65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373935.39999999997</c:v>
                </c:pt>
                <c:pt idx="1">
                  <c:v>239505.5</c:v>
                </c:pt>
                <c:pt idx="2">
                  <c:v>373935.39999999997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285485.6000000001</c:v>
                </c:pt>
                <c:pt idx="1">
                  <c:v>189812.5000000001</c:v>
                </c:pt>
                <c:pt idx="2">
                  <c:v>285485.6000000001</c:v>
                </c:pt>
              </c:numCache>
            </c:numRef>
          </c:val>
          <c:shape val="box"/>
        </c:ser>
        <c:shape val="box"/>
        <c:axId val="49054718"/>
        <c:axId val="38839279"/>
      </c:bar3DChart>
      <c:catAx>
        <c:axId val="49054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9279"/>
        <c:crosses val="autoZero"/>
        <c:auto val="1"/>
        <c:lblOffset val="100"/>
        <c:tickLblSkip val="1"/>
        <c:noMultiLvlLbl val="0"/>
      </c:catAx>
      <c:valAx>
        <c:axId val="38839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547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8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75"/>
          <c:w val="0.87025"/>
          <c:h val="0.59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64922.4</c:v>
                </c:pt>
                <c:pt idx="1">
                  <c:v>52872.899999999994</c:v>
                </c:pt>
                <c:pt idx="2">
                  <c:v>3079.2000000000003</c:v>
                </c:pt>
                <c:pt idx="3">
                  <c:v>874.1</c:v>
                </c:pt>
                <c:pt idx="4">
                  <c:v>80.8</c:v>
                </c:pt>
                <c:pt idx="5">
                  <c:v>8015.400000000006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47103.399999999965</c:v>
                </c:pt>
                <c:pt idx="1">
                  <c:v>39153</c:v>
                </c:pt>
                <c:pt idx="2">
                  <c:v>1575.6999999999998</c:v>
                </c:pt>
                <c:pt idx="3">
                  <c:v>655.6</c:v>
                </c:pt>
                <c:pt idx="4">
                  <c:v>25.5</c:v>
                </c:pt>
                <c:pt idx="5">
                  <c:v>5693.599999999965</c:v>
                </c:pt>
              </c:numCache>
            </c:numRef>
          </c:val>
          <c:shape val="box"/>
        </c:ser>
        <c:shape val="box"/>
        <c:axId val="14009192"/>
        <c:axId val="58973865"/>
      </c:bar3D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91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925"/>
          <c:w val="0.86375"/>
          <c:h val="0.64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24970.6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7316.399999999999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17336.600000000002</c:v>
                </c:pt>
                <c:pt idx="1">
                  <c:v>11122.500000000002</c:v>
                </c:pt>
                <c:pt idx="3">
                  <c:v>517.4999999999999</c:v>
                </c:pt>
                <c:pt idx="4">
                  <c:v>559.4000000000001</c:v>
                </c:pt>
                <c:pt idx="5">
                  <c:v>400</c:v>
                </c:pt>
                <c:pt idx="6">
                  <c:v>4737.200000000001</c:v>
                </c:pt>
              </c:numCache>
            </c:numRef>
          </c:val>
          <c:shape val="box"/>
        </c:ser>
        <c:shape val="box"/>
        <c:axId val="61002738"/>
        <c:axId val="12153731"/>
      </c:bar3DChart>
      <c:catAx>
        <c:axId val="61002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153731"/>
        <c:crosses val="autoZero"/>
        <c:auto val="1"/>
        <c:lblOffset val="100"/>
        <c:tickLblSkip val="2"/>
        <c:noMultiLvlLbl val="0"/>
      </c:catAx>
      <c:valAx>
        <c:axId val="121537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02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375"/>
          <c:w val="0.8777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3005.3</c:v>
                </c:pt>
                <c:pt idx="1">
                  <c:v>1940.5000000000002</c:v>
                </c:pt>
                <c:pt idx="2">
                  <c:v>337</c:v>
                </c:pt>
                <c:pt idx="3">
                  <c:v>217.29999999999998</c:v>
                </c:pt>
                <c:pt idx="4">
                  <c:v>89.8</c:v>
                </c:pt>
                <c:pt idx="5">
                  <c:v>420.70000000000005</c:v>
                </c:pt>
              </c:numCache>
            </c:numRef>
          </c:val>
          <c:shape val="box"/>
        </c:ser>
        <c:shape val="box"/>
        <c:axId val="42274716"/>
        <c:axId val="44928125"/>
      </c:bar3DChart>
      <c:catAx>
        <c:axId val="42274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28125"/>
        <c:crosses val="autoZero"/>
        <c:auto val="1"/>
        <c:lblOffset val="100"/>
        <c:tickLblSkip val="1"/>
        <c:noMultiLvlLbl val="0"/>
      </c:catAx>
      <c:valAx>
        <c:axId val="44928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74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365"/>
          <c:w val="0.85525"/>
          <c:h val="0.68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45231.80000000002</c:v>
                </c:pt>
              </c:numCache>
            </c:numRef>
          </c:val>
          <c:shape val="box"/>
        </c:ser>
        <c:shape val="box"/>
        <c:axId val="1699942"/>
        <c:axId val="15299479"/>
      </c:bar3DChart>
      <c:catAx>
        <c:axId val="1699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99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5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649900.8999999999</c:v>
                </c:pt>
                <c:pt idx="1">
                  <c:v>373935.39999999997</c:v>
                </c:pt>
                <c:pt idx="2">
                  <c:v>64922.4</c:v>
                </c:pt>
                <c:pt idx="3">
                  <c:v>24970.6</c:v>
                </c:pt>
                <c:pt idx="4">
                  <c:v>4816.1</c:v>
                </c:pt>
                <c:pt idx="5">
                  <c:v>155260.2</c:v>
                </c:pt>
                <c:pt idx="6">
                  <c:v>58976.4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464230.39999999997</c:v>
                </c:pt>
                <c:pt idx="1">
                  <c:v>285485.6000000001</c:v>
                </c:pt>
                <c:pt idx="2">
                  <c:v>47103.399999999965</c:v>
                </c:pt>
                <c:pt idx="3">
                  <c:v>17336.600000000002</c:v>
                </c:pt>
                <c:pt idx="4">
                  <c:v>3005.3</c:v>
                </c:pt>
                <c:pt idx="5">
                  <c:v>108495.80000000003</c:v>
                </c:pt>
                <c:pt idx="6">
                  <c:v>45231.80000000002</c:v>
                </c:pt>
              </c:numCache>
            </c:numRef>
          </c:val>
          <c:shape val="box"/>
        </c:ser>
        <c:shape val="box"/>
        <c:axId val="3477584"/>
        <c:axId val="31298257"/>
      </c:bar3DChart>
      <c:catAx>
        <c:axId val="347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98257"/>
        <c:crosses val="autoZero"/>
        <c:auto val="1"/>
        <c:lblOffset val="100"/>
        <c:tickLblSkip val="1"/>
        <c:noMultiLvlLbl val="0"/>
      </c:catAx>
      <c:valAx>
        <c:axId val="312982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75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77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6825"/>
          <c:w val="0.84125"/>
          <c:h val="0.63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735951.9999999999</c:v>
                </c:pt>
                <c:pt idx="1">
                  <c:v>98487.8</c:v>
                </c:pt>
                <c:pt idx="2">
                  <c:v>31719.100000000002</c:v>
                </c:pt>
                <c:pt idx="3">
                  <c:v>24182.6</c:v>
                </c:pt>
                <c:pt idx="4">
                  <c:v>105.7</c:v>
                </c:pt>
                <c:pt idx="5">
                  <c:v>988331.8999999997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536748.9999999999</c:v>
                </c:pt>
                <c:pt idx="1">
                  <c:v>60516.00000000001</c:v>
                </c:pt>
                <c:pt idx="2">
                  <c:v>24353.399999999998</c:v>
                </c:pt>
                <c:pt idx="3">
                  <c:v>16251.099999999995</c:v>
                </c:pt>
                <c:pt idx="4">
                  <c:v>45.4</c:v>
                </c:pt>
                <c:pt idx="5">
                  <c:v>722013.1000000003</c:v>
                </c:pt>
              </c:numCache>
            </c:numRef>
          </c:val>
          <c:shape val="box"/>
        </c:ser>
        <c:shape val="box"/>
        <c:axId val="13248858"/>
        <c:axId val="52130859"/>
      </c:bar3DChart>
      <c:catAx>
        <c:axId val="1324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30859"/>
        <c:crosses val="autoZero"/>
        <c:auto val="1"/>
        <c:lblOffset val="100"/>
        <c:tickLblSkip val="1"/>
        <c:noMultiLvlLbl val="0"/>
      </c:catAx>
      <c:valAx>
        <c:axId val="521308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8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46" sqref="K146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7" t="s">
        <v>111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1" t="s">
        <v>41</v>
      </c>
      <c r="B3" s="138" t="s">
        <v>107</v>
      </c>
      <c r="C3" s="138" t="s">
        <v>90</v>
      </c>
      <c r="D3" s="138" t="s">
        <v>23</v>
      </c>
      <c r="E3" s="138" t="s">
        <v>22</v>
      </c>
      <c r="F3" s="138" t="s">
        <v>108</v>
      </c>
      <c r="G3" s="138" t="s">
        <v>92</v>
      </c>
      <c r="H3" s="138" t="s">
        <v>109</v>
      </c>
      <c r="I3" s="138" t="s">
        <v>91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2" t="s">
        <v>27</v>
      </c>
      <c r="B6" s="45">
        <f>534200.5-438.1</f>
        <v>533762.4</v>
      </c>
      <c r="C6" s="46">
        <f>625865.1-190.4-316.9+47.1+50+198+5366.4+2952+4818.2+150+808.5-0.1-255.7+10077.1+331.6</f>
        <v>649900.8999999999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</f>
        <v>464230.39999999997</v>
      </c>
      <c r="E6" s="3">
        <f>D6/D151*100</f>
        <v>34.13639545623003</v>
      </c>
      <c r="F6" s="3">
        <f>D6/B6*100</f>
        <v>86.97323003643568</v>
      </c>
      <c r="G6" s="3">
        <f aca="true" t="shared" si="0" ref="G6:G43">D6/C6*100</f>
        <v>71.43095201129896</v>
      </c>
      <c r="H6" s="47">
        <f>B6-D6</f>
        <v>69532.00000000006</v>
      </c>
      <c r="I6" s="47">
        <f aca="true" t="shared" si="1" ref="I6:I43">C6-D6</f>
        <v>185670.49999999994</v>
      </c>
    </row>
    <row r="7" spans="1:9" s="37" customFormat="1" ht="18">
      <c r="A7" s="104" t="s">
        <v>82</v>
      </c>
      <c r="B7" s="97">
        <f>205071.3-57.1-19.1</f>
        <v>204995.09999999998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</f>
        <v>175754.50000000003</v>
      </c>
      <c r="E7" s="95">
        <f>D7/D6*100</f>
        <v>37.85932588645639</v>
      </c>
      <c r="F7" s="95">
        <f>D7/B7*100</f>
        <v>85.73595173738302</v>
      </c>
      <c r="G7" s="95">
        <f>D7/C7*100</f>
        <v>72.16750315865893</v>
      </c>
      <c r="H7" s="105">
        <f>B7-D7</f>
        <v>29240.599999999948</v>
      </c>
      <c r="I7" s="105">
        <f t="shared" si="1"/>
        <v>67782.39999999997</v>
      </c>
    </row>
    <row r="8" spans="1:9" ht="18">
      <c r="A8" s="23" t="s">
        <v>3</v>
      </c>
      <c r="B8" s="42">
        <f>421927.1+985.9</f>
        <v>422913</v>
      </c>
      <c r="C8" s="43">
        <f>487771.7+47.1+4992.2+4503.5+174-122.1+10000+1504.6</f>
        <v>508871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</f>
        <v>373349.9999999999</v>
      </c>
      <c r="E8" s="1">
        <f>D8/D6*100</f>
        <v>80.42342767729126</v>
      </c>
      <c r="F8" s="1">
        <f>D8/B8*100</f>
        <v>88.28056834384374</v>
      </c>
      <c r="G8" s="1">
        <f t="shared" si="0"/>
        <v>73.368299628</v>
      </c>
      <c r="H8" s="44">
        <f>B8-D8</f>
        <v>49563.00000000012</v>
      </c>
      <c r="I8" s="44">
        <f t="shared" si="1"/>
        <v>135521.00000000012</v>
      </c>
    </row>
    <row r="9" spans="1:9" ht="18">
      <c r="A9" s="23" t="s">
        <v>2</v>
      </c>
      <c r="B9" s="42">
        <f>90.5-1.2</f>
        <v>89.3</v>
      </c>
      <c r="C9" s="43">
        <f>92.5-1.2</f>
        <v>91.3</v>
      </c>
      <c r="D9" s="44">
        <f>2.5+4.3+3.3+7+0.4+1.3+1.6+1.3+1.5-0.1+0.8+5.1+2.1+0.8+4.5+2.3+3.3+2.6</f>
        <v>44.6</v>
      </c>
      <c r="E9" s="12">
        <f>D9/D6*100</f>
        <v>0.009607298444910114</v>
      </c>
      <c r="F9" s="119">
        <f>D9/B9*100</f>
        <v>49.944008958566634</v>
      </c>
      <c r="G9" s="1">
        <f t="shared" si="0"/>
        <v>48.84994523548741</v>
      </c>
      <c r="H9" s="44">
        <f aca="true" t="shared" si="2" ref="H9:H43">B9-D9</f>
        <v>44.699999999999996</v>
      </c>
      <c r="I9" s="44">
        <f t="shared" si="1"/>
        <v>46.699999999999996</v>
      </c>
    </row>
    <row r="10" spans="1:9" ht="18">
      <c r="A10" s="23" t="s">
        <v>1</v>
      </c>
      <c r="B10" s="42">
        <f>24480.4+3029.3</f>
        <v>27509.7</v>
      </c>
      <c r="C10" s="43">
        <f>27822.4-190.4-170.5+3029.3</f>
        <v>30490.8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</f>
        <v>23455.199999999997</v>
      </c>
      <c r="E10" s="1">
        <f>D10/D6*100</f>
        <v>5.0524911767949705</v>
      </c>
      <c r="F10" s="1">
        <f aca="true" t="shared" si="3" ref="F10:F41">D10/B10*100</f>
        <v>85.261562285303</v>
      </c>
      <c r="G10" s="1">
        <f t="shared" si="0"/>
        <v>76.92549883899405</v>
      </c>
      <c r="H10" s="44">
        <f t="shared" si="2"/>
        <v>4054.5000000000036</v>
      </c>
      <c r="I10" s="44">
        <f t="shared" si="1"/>
        <v>7035.600000000002</v>
      </c>
    </row>
    <row r="11" spans="1:9" ht="18">
      <c r="A11" s="23" t="s">
        <v>0</v>
      </c>
      <c r="B11" s="42">
        <f>59098.9-4046.3</f>
        <v>55052.6</v>
      </c>
      <c r="C11" s="43">
        <f>80900.5-133.6-4046.3</f>
        <v>76720.59999999999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</f>
        <v>47661.899999999994</v>
      </c>
      <c r="E11" s="1">
        <f>D11/D6*100</f>
        <v>10.266863178283886</v>
      </c>
      <c r="F11" s="1">
        <f t="shared" si="3"/>
        <v>86.57520262439921</v>
      </c>
      <c r="G11" s="1">
        <f t="shared" si="0"/>
        <v>62.12399277377914</v>
      </c>
      <c r="H11" s="44">
        <f t="shared" si="2"/>
        <v>7390.700000000004</v>
      </c>
      <c r="I11" s="44">
        <f t="shared" si="1"/>
        <v>29058.699999999997</v>
      </c>
    </row>
    <row r="12" spans="1:9" ht="18">
      <c r="A12" s="23" t="s">
        <v>14</v>
      </c>
      <c r="B12" s="42">
        <f>11379.6-29.9-73</f>
        <v>11276.7</v>
      </c>
      <c r="C12" s="43">
        <f>14045.5-16.9-29.9-73</f>
        <v>13925.7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</f>
        <v>9713.299999999997</v>
      </c>
      <c r="E12" s="1">
        <f>D12/D6*100</f>
        <v>2.0923446633395826</v>
      </c>
      <c r="F12" s="1">
        <f t="shared" si="3"/>
        <v>86.13601496891819</v>
      </c>
      <c r="G12" s="1">
        <f t="shared" si="0"/>
        <v>69.75089223521975</v>
      </c>
      <c r="H12" s="44">
        <f t="shared" si="2"/>
        <v>1563.4000000000033</v>
      </c>
      <c r="I12" s="44">
        <f t="shared" si="1"/>
        <v>4212.400000000003</v>
      </c>
    </row>
    <row r="13" spans="1:9" ht="18.75" thickBot="1">
      <c r="A13" s="23" t="s">
        <v>28</v>
      </c>
      <c r="B13" s="43">
        <f>B6-B8-B9-B10-B11-B12</f>
        <v>16921.100000000024</v>
      </c>
      <c r="C13" s="43">
        <f>C6-C8-C9-C10-C11-C12</f>
        <v>19801.499999999924</v>
      </c>
      <c r="D13" s="43">
        <f>D6-D8-D9-D10-D11-D12</f>
        <v>10005.400000000087</v>
      </c>
      <c r="E13" s="1">
        <f>D13/D6*100</f>
        <v>2.1552660058453923</v>
      </c>
      <c r="F13" s="1">
        <f t="shared" si="3"/>
        <v>59.129725608855644</v>
      </c>
      <c r="G13" s="1">
        <f t="shared" si="0"/>
        <v>50.52849531601205</v>
      </c>
      <c r="H13" s="44">
        <f t="shared" si="2"/>
        <v>6915.699999999937</v>
      </c>
      <c r="I13" s="44">
        <f t="shared" si="1"/>
        <v>9796.099999999837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324958.4-4078.3-2836-1734.2+106.8</f>
        <v>316416.7</v>
      </c>
      <c r="C18" s="46">
        <f>329127.1+600+14307.6+200+1333.8+15842.2+1513.4+30+10000+981.3</f>
        <v>373935.39999999997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</f>
        <v>285485.6000000001</v>
      </c>
      <c r="E18" s="3">
        <f>D18/D151*100</f>
        <v>20.992699613508954</v>
      </c>
      <c r="F18" s="3">
        <f>D18/B18*100</f>
        <v>90.22456779304002</v>
      </c>
      <c r="G18" s="3">
        <f t="shared" si="0"/>
        <v>76.34623520533229</v>
      </c>
      <c r="H18" s="47">
        <f>B18-D18</f>
        <v>30931.09999999992</v>
      </c>
      <c r="I18" s="47">
        <f t="shared" si="1"/>
        <v>88449.79999999987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</f>
        <v>189812.5000000001</v>
      </c>
      <c r="E19" s="95">
        <f>D19/D18*100</f>
        <v>66.48759166837137</v>
      </c>
      <c r="F19" s="95">
        <f t="shared" si="3"/>
        <v>95.00467484313754</v>
      </c>
      <c r="G19" s="95">
        <f t="shared" si="0"/>
        <v>79.2518334652023</v>
      </c>
      <c r="H19" s="105">
        <f t="shared" si="2"/>
        <v>9980.299999999901</v>
      </c>
      <c r="I19" s="105">
        <f t="shared" si="1"/>
        <v>49692.99999999991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316416.7</v>
      </c>
      <c r="C25" s="43">
        <f>C18</f>
        <v>373935.39999999997</v>
      </c>
      <c r="D25" s="43">
        <f>D18</f>
        <v>285485.6000000001</v>
      </c>
      <c r="E25" s="1">
        <f>D25/D18*100</f>
        <v>100</v>
      </c>
      <c r="F25" s="1">
        <f t="shared" si="3"/>
        <v>90.22456779304002</v>
      </c>
      <c r="G25" s="1">
        <f t="shared" si="0"/>
        <v>76.34623520533229</v>
      </c>
      <c r="H25" s="44">
        <f t="shared" si="2"/>
        <v>30931.09999999992</v>
      </c>
      <c r="I25" s="44">
        <f t="shared" si="1"/>
        <v>88449.79999999987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f>53255.6+221</f>
        <v>53476.6</v>
      </c>
      <c r="C33" s="46">
        <f>67303.3-3099.2+301.7+44-104+255.7+122+221-122.1</f>
        <v>64922.4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</f>
        <v>47103.399999999965</v>
      </c>
      <c r="E33" s="3">
        <f>D33/D151*100</f>
        <v>3.4636686648116637</v>
      </c>
      <c r="F33" s="3">
        <f>D33/B33*100</f>
        <v>88.08226401828082</v>
      </c>
      <c r="G33" s="3">
        <f t="shared" si="0"/>
        <v>72.55338681256387</v>
      </c>
      <c r="H33" s="47">
        <f t="shared" si="2"/>
        <v>6373.2000000000335</v>
      </c>
      <c r="I33" s="47">
        <f t="shared" si="1"/>
        <v>17819.000000000036</v>
      </c>
      <c r="K33" s="132"/>
    </row>
    <row r="34" spans="1:11" ht="18">
      <c r="A34" s="23" t="s">
        <v>3</v>
      </c>
      <c r="B34" s="42">
        <f>43957.1+9.2</f>
        <v>43966.299999999996</v>
      </c>
      <c r="C34" s="43">
        <f>55535.9-3105.8+301.7+122.2+18.9</f>
        <v>52872.899999999994</v>
      </c>
      <c r="D34" s="44">
        <f>1743.2+1833.7+1830.2+1935.3+81+1854.2+129.9+1804.7+34.4+1.5+1881.6+1967.7+0.1+1784.4+235.6+2357.6-0.1+6335.8+2919.9+53.7+142.8+686.6+728.3+0.1+8.8+87.6+495.7+1689.4+9.2+4.2+70.1+2075.5+2129.1+113+4.5+2132.8-9.1</f>
        <v>39153</v>
      </c>
      <c r="E34" s="1">
        <f>D34/D33*100</f>
        <v>83.12138826496607</v>
      </c>
      <c r="F34" s="1">
        <f t="shared" si="3"/>
        <v>89.05229687283216</v>
      </c>
      <c r="G34" s="1">
        <f t="shared" si="0"/>
        <v>74.05116798965065</v>
      </c>
      <c r="H34" s="44">
        <f t="shared" si="2"/>
        <v>4813.299999999996</v>
      </c>
      <c r="I34" s="44">
        <f t="shared" si="1"/>
        <v>13719.899999999994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f>2131.6+0.3</f>
        <v>2131.9</v>
      </c>
      <c r="C36" s="43">
        <f>2945.3+133.6+0.3</f>
        <v>3079.2000000000003</v>
      </c>
      <c r="D36" s="44">
        <f>5.4+1.2+41.8+16.1+2.9+29.7+160.9+0.8+93.4+46.9+11.2+0.1+15.2+184.7+9.2+183.2+0.9+11.9+0.1+174+0.1+59.2+12.8+2+8.2+325.6+7.6-0.1+53.7+13.4+10.7+7.4+0.6+1.6+1.5+8.1+1.8+9.7+0.1+1+17.2-0.3+3.2+3.8+10.2+6.6+6.3+7.9+2+3.1+1.1</f>
        <v>1575.6999999999998</v>
      </c>
      <c r="E36" s="1">
        <f>D36/D33*100</f>
        <v>3.3451937652059107</v>
      </c>
      <c r="F36" s="1">
        <f t="shared" si="3"/>
        <v>73.91059618180964</v>
      </c>
      <c r="G36" s="1">
        <f t="shared" si="0"/>
        <v>51.172382436996614</v>
      </c>
      <c r="H36" s="44">
        <f t="shared" si="2"/>
        <v>556.2000000000003</v>
      </c>
      <c r="I36" s="44">
        <f t="shared" si="1"/>
        <v>1503.5000000000005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7.4+12.3+6.1+3.3+9.3+3.2+58.1+36.7+24.4+18.9-18.9+0.1+12+83.3+21.3+10.7+4.7+55.2+2.2+22.4+77.9+16.1+3.3+3+43.6+88+51</f>
        <v>655.6</v>
      </c>
      <c r="E37" s="17">
        <f>D37/D33*100</f>
        <v>1.3918315875287146</v>
      </c>
      <c r="F37" s="17">
        <f t="shared" si="3"/>
        <v>95.89001023840865</v>
      </c>
      <c r="G37" s="17">
        <f t="shared" si="0"/>
        <v>75.00286008465851</v>
      </c>
      <c r="H37" s="53">
        <f t="shared" si="2"/>
        <v>28.100000000000023</v>
      </c>
      <c r="I37" s="53">
        <f t="shared" si="1"/>
        <v>218.5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0.05413621946611076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6664.100000000003</v>
      </c>
      <c r="C39" s="42">
        <f>C33-C34-C36-C37-C35-C38</f>
        <v>8015.400000000006</v>
      </c>
      <c r="D39" s="42">
        <f>D33-D34-D36-D37-D35-D38</f>
        <v>5693.599999999965</v>
      </c>
      <c r="E39" s="1">
        <f>D39/D33*100</f>
        <v>12.087450162833191</v>
      </c>
      <c r="F39" s="1">
        <f t="shared" si="3"/>
        <v>85.43689320388293</v>
      </c>
      <c r="G39" s="1">
        <f t="shared" si="0"/>
        <v>71.0332609726272</v>
      </c>
      <c r="H39" s="44">
        <f>B39-D39</f>
        <v>970.5000000000382</v>
      </c>
      <c r="I39" s="44">
        <f t="shared" si="1"/>
        <v>2321.800000000041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29.1+22+50.2+8.1+0.6+111.5+89.2+3+14.7+7.1+8.4+11.5+17.6+100.3+27.2+6.2-0.1+30.1+12.7+5+6.1+5+7.2+55.8+7.4+109.8-0.1+35+11.8+22.6+27.4+6.5+3.2+63.8+35.8+6.6+2.7+4+0.2+6.5+6.9+61+27.1-0.1+3.2+4.7+2.4+51.9+11+53.3-0.1+65.1+0.4+11+9.8+53+2.5+1.3+0.2+1.5</f>
        <v>1337.8000000000002</v>
      </c>
      <c r="E43" s="3">
        <f>D43/D151*100</f>
        <v>0.09837285503350177</v>
      </c>
      <c r="F43" s="3">
        <f>D43/B43*100</f>
        <v>63.48106671728196</v>
      </c>
      <c r="G43" s="3">
        <f t="shared" si="0"/>
        <v>59.8033080017881</v>
      </c>
      <c r="H43" s="47">
        <f t="shared" si="2"/>
        <v>769.5999999999999</v>
      </c>
      <c r="I43" s="47">
        <f t="shared" si="1"/>
        <v>899.2000000000003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102.9+155.5+3.1+3.7+452.3+6+17.2+314.1+59.3+95.2+2.2+579+1.9+71.6+375.2+7+7.3+568.3+0.1+96.1+326.4+4.1+518.1-0.1+350+35.2+5.1+556.7+19.5+326.2+24.6+1+691.6+365.3+4.1+585.4+328.4+3.5+1.9+509.6-0.1+18.5+0.1+311.5+518.9+25.3+320.2+4.8</f>
        <v>8773.8</v>
      </c>
      <c r="E45" s="3">
        <f>D45/D151*100</f>
        <v>0.6451665088151725</v>
      </c>
      <c r="F45" s="3">
        <f>D45/B45*100</f>
        <v>90.0689853406151</v>
      </c>
      <c r="G45" s="3">
        <f aca="true" t="shared" si="4" ref="G45:G76">D45/C45*100</f>
        <v>74.42992874109264</v>
      </c>
      <c r="H45" s="47">
        <f>B45-D45</f>
        <v>967.4000000000015</v>
      </c>
      <c r="I45" s="47">
        <f aca="true" t="shared" si="5" ref="I45:I77">C45-D45</f>
        <v>3014.2000000000007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102.7+154.9+447.3+314.1+572.1+284.8+559+325.4+510.8+301.6+29.6+556.7+0.1+311.9+684.4+334.8+585.4+305.3+503.4-0.1+18+293.3+510.8+310.5+0.1</f>
        <v>8016.9</v>
      </c>
      <c r="E46" s="1">
        <f>D46/D45*100</f>
        <v>91.37317923818642</v>
      </c>
      <c r="F46" s="1">
        <f aca="true" t="shared" si="6" ref="F46:F74">D46/B46*100</f>
        <v>90.70225259370721</v>
      </c>
      <c r="G46" s="1">
        <f t="shared" si="4"/>
        <v>76.13607225277073</v>
      </c>
      <c r="H46" s="44">
        <f aca="true" t="shared" si="7" ref="H46:H74">B46-D46</f>
        <v>821.8000000000011</v>
      </c>
      <c r="I46" s="44">
        <f t="shared" si="5"/>
        <v>2512.800000000001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0.009118056030454309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73.4+0.9+0.1</f>
        <v>74.4</v>
      </c>
      <c r="D48" s="44">
        <f>5.4+5.6+7.3+6+2.1+4.3+6.6+2.2+4.2</f>
        <v>43.70000000000001</v>
      </c>
      <c r="E48" s="1">
        <f>D48/D45*100</f>
        <v>0.49807381066356665</v>
      </c>
      <c r="F48" s="1">
        <f t="shared" si="6"/>
        <v>77.48226950354612</v>
      </c>
      <c r="G48" s="1">
        <f t="shared" si="4"/>
        <v>58.73655913978495</v>
      </c>
      <c r="H48" s="44">
        <f t="shared" si="7"/>
        <v>12.699999999999989</v>
      </c>
      <c r="I48" s="44">
        <f t="shared" si="5"/>
        <v>30.699999999999996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</f>
        <v>467.79999999999995</v>
      </c>
      <c r="E49" s="1">
        <f>D49/D45*100</f>
        <v>5.331783263808156</v>
      </c>
      <c r="F49" s="1">
        <f t="shared" si="6"/>
        <v>80.73869520193303</v>
      </c>
      <c r="G49" s="1">
        <f t="shared" si="4"/>
        <v>54.074673448156275</v>
      </c>
      <c r="H49" s="44">
        <f t="shared" si="7"/>
        <v>111.60000000000002</v>
      </c>
      <c r="I49" s="44">
        <f t="shared" si="5"/>
        <v>397.30000000000007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317.3999999999993</v>
      </c>
      <c r="D50" s="43">
        <f>D45-D46-D49-D48-D47</f>
        <v>244.59999999999965</v>
      </c>
      <c r="E50" s="1">
        <f>D50/D45*100</f>
        <v>2.787845631311401</v>
      </c>
      <c r="F50" s="1">
        <f t="shared" si="6"/>
        <v>92.09337349397576</v>
      </c>
      <c r="G50" s="1">
        <f t="shared" si="4"/>
        <v>77.06364209199754</v>
      </c>
      <c r="H50" s="44">
        <f t="shared" si="7"/>
        <v>21.00000000000037</v>
      </c>
      <c r="I50" s="44">
        <f t="shared" si="5"/>
        <v>72.79999999999964</v>
      </c>
      <c r="K50" s="132"/>
    </row>
    <row r="51" spans="1:11" ht="18.75" thickBot="1">
      <c r="A51" s="22" t="s">
        <v>4</v>
      </c>
      <c r="B51" s="45">
        <f>19553.6+1058.7</f>
        <v>20612.3</v>
      </c>
      <c r="C51" s="46">
        <f>23558.7+50+2250-940.4-1250+76.8+148+18.8+1058.7</f>
        <v>24970.6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</f>
        <v>17336.600000000002</v>
      </c>
      <c r="E51" s="3">
        <f>D51/D151*100</f>
        <v>1.2748174903377236</v>
      </c>
      <c r="F51" s="3">
        <f>D51/B51*100</f>
        <v>84.10803258248717</v>
      </c>
      <c r="G51" s="3">
        <f t="shared" si="4"/>
        <v>69.42804738372327</v>
      </c>
      <c r="H51" s="47">
        <f>B51-D51</f>
        <v>3275.699999999997</v>
      </c>
      <c r="I51" s="47">
        <f t="shared" si="5"/>
        <v>7633.999999999996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392.4+738.8+389.6+752.9+403.1+730.4+397.8+724.9+1.1+0.1+403+795.7+527.1+1240.6+386.5+33.7+705.7+0.1+5.8+226.6+536.1+14.2+2.1+376.1+1.7+154.2+769.9+9+398.1-0.1+5.3</f>
        <v>11122.500000000002</v>
      </c>
      <c r="E52" s="1">
        <f>D52/D51*100</f>
        <v>64.15617825871279</v>
      </c>
      <c r="F52" s="1">
        <f t="shared" si="6"/>
        <v>90.577792255385</v>
      </c>
      <c r="G52" s="1">
        <f t="shared" si="4"/>
        <v>72.93729589360895</v>
      </c>
      <c r="H52" s="44">
        <f t="shared" si="7"/>
        <v>1156.9999999999982</v>
      </c>
      <c r="I52" s="44">
        <f t="shared" si="5"/>
        <v>4126.899999999998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1.9+1.9+0.5+7.4+2.1+1.2+12.9+5.1+0.1+4.5+16.8+19.2+9.7+3.1+1.1+1.4+2.5+5.7+19.9+0.8+28.2+4+19.8+8.2+38.7+4.3+0.2+18.2+4.3+27.9+3.9+3+21+4+9.4+2.4+4.7+1.2+8.1+6.9+10.9+0.1+38.9+5.3+2.8+0.1+3+2.2+20.1+27.7+3.6+38.3+19.9+5.8+2.6</f>
        <v>517.4999999999999</v>
      </c>
      <c r="E54" s="1">
        <f>D54/D51*100</f>
        <v>2.985014362677802</v>
      </c>
      <c r="F54" s="1">
        <f t="shared" si="6"/>
        <v>76.54193166691316</v>
      </c>
      <c r="G54" s="1">
        <f t="shared" si="4"/>
        <v>63.87311774870401</v>
      </c>
      <c r="H54" s="44">
        <f t="shared" si="7"/>
        <v>158.60000000000014</v>
      </c>
      <c r="I54" s="44">
        <f t="shared" si="5"/>
        <v>292.70000000000016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0.5+0.6+7.5+73.9+2.1+51.2+20.8+16.3+5.9+0.4+16.8+14.9+10.4+71.4+0.3+1.2+1.4+16+1.2+0.1+25+43+3.8+1.3+4.1+73.9-0.2+14.3+2.8+3+2.4+0.3+0.4+1.3+1.5+2+0.6+0.5+3+1.3+1.4+2+1.4+0.2+0.3+0.2+0.6+0.1-0.1+0.5+38.9+0.3+0.6+11.4+1.9+2.3+0.2</f>
        <v>559.4000000000001</v>
      </c>
      <c r="E55" s="1">
        <f>D55/D51*100</f>
        <v>3.2266995835400256</v>
      </c>
      <c r="F55" s="1">
        <f t="shared" si="6"/>
        <v>82.3494774032092</v>
      </c>
      <c r="G55" s="1">
        <f t="shared" si="4"/>
        <v>52.6395031523478</v>
      </c>
      <c r="H55" s="44">
        <f t="shared" si="7"/>
        <v>119.89999999999986</v>
      </c>
      <c r="I55" s="44">
        <f t="shared" si="5"/>
        <v>503.29999999999995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34+46+40+40+40+40+40+40+38+2+40</f>
        <v>400</v>
      </c>
      <c r="E56" s="1">
        <f>D56/D51*100</f>
        <v>2.3072574783983018</v>
      </c>
      <c r="F56" s="1">
        <f>D56/B56*100</f>
        <v>95.2154248988336</v>
      </c>
      <c r="G56" s="1">
        <f>D56/C56*100</f>
        <v>77.08614376565812</v>
      </c>
      <c r="H56" s="44">
        <f t="shared" si="7"/>
        <v>20.100000000000023</v>
      </c>
      <c r="I56" s="44">
        <f t="shared" si="5"/>
        <v>118.89999999999998</v>
      </c>
      <c r="K56" s="132"/>
    </row>
    <row r="57" spans="1:11" ht="18.75" thickBot="1">
      <c r="A57" s="23" t="s">
        <v>28</v>
      </c>
      <c r="B57" s="43">
        <f>B51-B52-B55-B54-B53-B56</f>
        <v>6550.799999999998</v>
      </c>
      <c r="C57" s="43">
        <f>C51-C52-C55-C54-C53-C56</f>
        <v>7316.399999999999</v>
      </c>
      <c r="D57" s="43">
        <f>D51-D52-D55-D54-D53-D56</f>
        <v>4737.200000000001</v>
      </c>
      <c r="E57" s="1">
        <f>D57/D51*100</f>
        <v>27.32485031667109</v>
      </c>
      <c r="F57" s="1">
        <f t="shared" si="6"/>
        <v>72.31483177627163</v>
      </c>
      <c r="G57" s="1">
        <f t="shared" si="4"/>
        <v>64.74769012082447</v>
      </c>
      <c r="H57" s="44">
        <f>B57-D57</f>
        <v>1813.5999999999976</v>
      </c>
      <c r="I57" s="44">
        <f>C57-D57</f>
        <v>2579.199999999998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f>3513.3+500</f>
        <v>4013.3</v>
      </c>
      <c r="C59" s="46">
        <f>7844.6+200-378.5+50-3400+500</f>
        <v>4816.1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</f>
        <v>3005.3</v>
      </c>
      <c r="E59" s="3">
        <f>D59/D151*100</f>
        <v>0.22098964062803322</v>
      </c>
      <c r="F59" s="3">
        <f>D59/B59*100</f>
        <v>74.88351232153092</v>
      </c>
      <c r="G59" s="3">
        <f t="shared" si="4"/>
        <v>62.40111293370154</v>
      </c>
      <c r="H59" s="47">
        <f>B59-D59</f>
        <v>1008</v>
      </c>
      <c r="I59" s="47">
        <f t="shared" si="5"/>
        <v>1810.8000000000002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64.56926097228231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11.21352277642831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</f>
        <v>217.29999999999998</v>
      </c>
      <c r="E62" s="1">
        <f>D62/D59*100</f>
        <v>7.230559345156888</v>
      </c>
      <c r="F62" s="1">
        <f t="shared" si="6"/>
        <v>82.18608169440242</v>
      </c>
      <c r="G62" s="1">
        <f t="shared" si="4"/>
        <v>52.62775490433518</v>
      </c>
      <c r="H62" s="44">
        <f t="shared" si="7"/>
        <v>47.099999999999994</v>
      </c>
      <c r="I62" s="44">
        <f t="shared" si="5"/>
        <v>195.60000000000005</v>
      </c>
      <c r="K62" s="132"/>
    </row>
    <row r="63" spans="1:11" ht="18">
      <c r="A63" s="23" t="s">
        <v>14</v>
      </c>
      <c r="B63" s="42">
        <f>307.1+500</f>
        <v>807.1</v>
      </c>
      <c r="C63" s="43">
        <f>3707.1-3400+500</f>
        <v>807.0999999999999</v>
      </c>
      <c r="D63" s="44">
        <v>89.8</v>
      </c>
      <c r="E63" s="1">
        <f>D63/D59*100</f>
        <v>2.9880544371610154</v>
      </c>
      <c r="F63" s="1">
        <f t="shared" si="6"/>
        <v>11.126254491388924</v>
      </c>
      <c r="G63" s="1">
        <f t="shared" si="4"/>
        <v>11.126254491388925</v>
      </c>
      <c r="H63" s="44">
        <f t="shared" si="7"/>
        <v>717.3000000000001</v>
      </c>
      <c r="I63" s="44">
        <f t="shared" si="5"/>
        <v>717.3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420.70000000000005</v>
      </c>
      <c r="E64" s="1">
        <f>D64/D59*100</f>
        <v>13.998602468971486</v>
      </c>
      <c r="F64" s="1">
        <f t="shared" si="6"/>
        <v>91.85589519650652</v>
      </c>
      <c r="G64" s="1">
        <f t="shared" si="4"/>
        <v>60.821165245048434</v>
      </c>
      <c r="H64" s="44">
        <f t="shared" si="7"/>
        <v>37.300000000000125</v>
      </c>
      <c r="I64" s="44">
        <f t="shared" si="5"/>
        <v>271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377</v>
      </c>
      <c r="C69" s="46">
        <f>C70+C71</f>
        <v>390.3</v>
      </c>
      <c r="D69" s="47">
        <f>SUM(D70:D71)</f>
        <v>242.39999999999998</v>
      </c>
      <c r="E69" s="35">
        <f>D69/D151*100</f>
        <v>0.017824473060338485</v>
      </c>
      <c r="F69" s="3">
        <f>D69/B69*100</f>
        <v>64.29708222811671</v>
      </c>
      <c r="G69" s="3">
        <f t="shared" si="4"/>
        <v>62.106072252113755</v>
      </c>
      <c r="H69" s="47">
        <f>B69-D69</f>
        <v>134.60000000000002</v>
      </c>
      <c r="I69" s="47">
        <f t="shared" si="5"/>
        <v>147.90000000000003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f>97.2-7.2</f>
        <v>90</v>
      </c>
      <c r="C71" s="43">
        <f>267.3-68.6-27.9+0.7-15-6.9-19.6-19.5-7.2</f>
        <v>103.3</v>
      </c>
      <c r="D71" s="44">
        <f>6.5</f>
        <v>6.5</v>
      </c>
      <c r="E71" s="1">
        <f>D71/D70*100</f>
        <v>2.7554048325561684</v>
      </c>
      <c r="F71" s="1">
        <f t="shared" si="6"/>
        <v>7.222222222222221</v>
      </c>
      <c r="G71" s="1">
        <f t="shared" si="4"/>
        <v>6.292352371732818</v>
      </c>
      <c r="H71" s="44">
        <f t="shared" si="7"/>
        <v>83.5</v>
      </c>
      <c r="I71" s="44">
        <f t="shared" si="5"/>
        <v>96.8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f>132747.6-859.7</f>
        <v>131887.9</v>
      </c>
      <c r="C90" s="46">
        <f>157960+265+0.3+29.6-699.4-2295.4+0.1</f>
        <v>155260.2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+25.6+270.8+3864+883.9+27.4+52.7+6+0.2+88.3</f>
        <v>108495.80000000003</v>
      </c>
      <c r="E90" s="3">
        <f>D90/D151*100</f>
        <v>7.97805472054403</v>
      </c>
      <c r="F90" s="3">
        <f aca="true" t="shared" si="10" ref="F90:F96">D90/B90*100</f>
        <v>82.26364966005224</v>
      </c>
      <c r="G90" s="3">
        <f t="shared" si="8"/>
        <v>69.87998212033736</v>
      </c>
      <c r="H90" s="47">
        <f aca="true" t="shared" si="11" ref="H90:H96">B90-D90</f>
        <v>23392.099999999962</v>
      </c>
      <c r="I90" s="47">
        <f t="shared" si="9"/>
        <v>46764.39999999998</v>
      </c>
      <c r="J90" s="136"/>
      <c r="K90" s="132"/>
    </row>
    <row r="91" spans="1:11" ht="18">
      <c r="A91" s="23" t="s">
        <v>3</v>
      </c>
      <c r="B91" s="42">
        <f>123695.3-18.2-1258.2</f>
        <v>122418.90000000001</v>
      </c>
      <c r="C91" s="43">
        <f>148246.2-137.7-228.3-64.5-80-812.7-2843.9</f>
        <v>144079.1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</f>
        <v>101750.90000000001</v>
      </c>
      <c r="E91" s="1">
        <f>D91/D90*100</f>
        <v>93.78326165621156</v>
      </c>
      <c r="F91" s="1">
        <f t="shared" si="10"/>
        <v>83.11698602094938</v>
      </c>
      <c r="G91" s="1">
        <f t="shared" si="8"/>
        <v>70.62155441004282</v>
      </c>
      <c r="H91" s="44">
        <f t="shared" si="11"/>
        <v>20668</v>
      </c>
      <c r="I91" s="44">
        <f t="shared" si="9"/>
        <v>42328.2</v>
      </c>
      <c r="J91" s="136"/>
      <c r="K91" s="132"/>
    </row>
    <row r="92" spans="1:11" ht="18">
      <c r="A92" s="23" t="s">
        <v>26</v>
      </c>
      <c r="B92" s="42">
        <f>1718.6-1.2</f>
        <v>1717.3999999999999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48.5+5.1+5+1.3+22.8+67.3+62.7+3.5+1.4+40.6+112.7+571.4+55.5+1.7+2.4+3.1+83.6+0.9+1.4+3.5+0.9+23.5+44.4+1+13.6+0.7+42.8+22.3+44+0.7+4.6+0.7+0.7+13.7+56.1+1.6+31.5+0.9+63.8+4.3+0.9+0.3+18-0.1</f>
        <v>1485.3000000000002</v>
      </c>
      <c r="E92" s="1">
        <f>D92/D90*100</f>
        <v>1.3689930854466255</v>
      </c>
      <c r="F92" s="1">
        <f t="shared" si="10"/>
        <v>86.48538488412719</v>
      </c>
      <c r="G92" s="1">
        <f t="shared" si="8"/>
        <v>56.67786003205374</v>
      </c>
      <c r="H92" s="44">
        <f t="shared" si="11"/>
        <v>232.09999999999968</v>
      </c>
      <c r="I92" s="44">
        <f t="shared" si="9"/>
        <v>1135.2999999999997</v>
      </c>
      <c r="J92" s="136"/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J93" s="136"/>
      <c r="K93" s="132"/>
    </row>
    <row r="94" spans="1:11" ht="18.75" thickBot="1">
      <c r="A94" s="23" t="s">
        <v>28</v>
      </c>
      <c r="B94" s="43">
        <f>B90-B91-B92-B93</f>
        <v>7751.599999999986</v>
      </c>
      <c r="C94" s="43">
        <f>C90-C91-C92-C93</f>
        <v>8560.500000000005</v>
      </c>
      <c r="D94" s="43">
        <f>D90-D91-D92-D93</f>
        <v>5259.600000000023</v>
      </c>
      <c r="E94" s="1">
        <f>D94/D90*100</f>
        <v>4.847745258341817</v>
      </c>
      <c r="F94" s="1">
        <f t="shared" si="10"/>
        <v>67.85179833840797</v>
      </c>
      <c r="G94" s="1">
        <f>D94/C94*100</f>
        <v>61.44033642894714</v>
      </c>
      <c r="H94" s="44">
        <f t="shared" si="11"/>
        <v>2491.9999999999627</v>
      </c>
      <c r="I94" s="44">
        <f>C94-D94</f>
        <v>3300.8999999999824</v>
      </c>
      <c r="J94" s="136"/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</f>
        <v>58976.4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</f>
        <v>45231.80000000002</v>
      </c>
      <c r="E95" s="107">
        <f>D95/D151*100</f>
        <v>3.3260437317269744</v>
      </c>
      <c r="F95" s="110">
        <f t="shared" si="10"/>
        <v>92.61011729875047</v>
      </c>
      <c r="G95" s="106">
        <f>D95/C95*100</f>
        <v>76.69474569488816</v>
      </c>
      <c r="H95" s="111">
        <f t="shared" si="11"/>
        <v>3609.299999999981</v>
      </c>
      <c r="I95" s="121">
        <f>C95-D95</f>
        <v>13744.599999999984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69.1+1043.7+68.3+1051.8+1+68.3+66.1+938.4+3+68.7+11.3+4.3+734+67.7+6.3+0.4+21.5+2.2+658.8+0.1+17.8+71.8+130.4+525.1+460.8+17+3.6+18.3+567.4+6.6+33.7+842.6+39.7-0.1</f>
        <v>7619.700000000001</v>
      </c>
      <c r="E96" s="116">
        <f>D96/D95*100</f>
        <v>16.845891607232076</v>
      </c>
      <c r="F96" s="117">
        <f t="shared" si="10"/>
        <v>88.9237699561199</v>
      </c>
      <c r="G96" s="118">
        <f>D96/C96*100</f>
        <v>70.88554603555582</v>
      </c>
      <c r="H96" s="122">
        <f t="shared" si="11"/>
        <v>949.0999999999985</v>
      </c>
      <c r="I96" s="123">
        <f>C96-D96</f>
        <v>3129.5999999999967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f>10332.7-1549.4</f>
        <v>8783.300000000001</v>
      </c>
      <c r="C102" s="92">
        <f>12999.2-348+46.7-53.7+124.7-124.6+10.7+5.1+0.1+19.5-3.3-2260.1</f>
        <v>10416.300000000003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</f>
        <v>7238.899999999994</v>
      </c>
      <c r="E102" s="19">
        <f>D102/D151*100</f>
        <v>0.5323002394244396</v>
      </c>
      <c r="F102" s="19">
        <f>D102/B102*100</f>
        <v>82.41663156216904</v>
      </c>
      <c r="G102" s="19">
        <f aca="true" t="shared" si="12" ref="G102:G149">D102/C102*100</f>
        <v>69.4958862551961</v>
      </c>
      <c r="H102" s="79">
        <f aca="true" t="shared" si="13" ref="H102:H107">B102-D102</f>
        <v>1544.400000000007</v>
      </c>
      <c r="I102" s="79">
        <f aca="true" t="shared" si="14" ref="I102:I149">C102-D102</f>
        <v>3177.4000000000087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2.6274710246031874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f>8337.3-1376.8-0.1</f>
        <v>6960.399999999999</v>
      </c>
      <c r="C104" s="44">
        <f>10720.8-348+46.7-56.3+125.1-124.6-51.5+5.1+21.6-3.3-2080.6-0.1</f>
        <v>8254.900000000001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</f>
        <v>5807.0999999999985</v>
      </c>
      <c r="E104" s="1">
        <f>D104/D102*100</f>
        <v>80.22075177167807</v>
      </c>
      <c r="F104" s="1">
        <f aca="true" t="shared" si="15" ref="F104:F149">D104/B104*100</f>
        <v>83.43054996839263</v>
      </c>
      <c r="G104" s="1">
        <f t="shared" si="12"/>
        <v>70.34730887109471</v>
      </c>
      <c r="H104" s="44">
        <f t="shared" si="13"/>
        <v>1153.3000000000002</v>
      </c>
      <c r="I104" s="44">
        <f t="shared" si="14"/>
        <v>2447.800000000003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1582.5000000000027</v>
      </c>
      <c r="C106" s="88">
        <f>C102-C103-C104</f>
        <v>1902.300000000001</v>
      </c>
      <c r="D106" s="88">
        <f>D102-D103-D104</f>
        <v>1241.5999999999958</v>
      </c>
      <c r="E106" s="84">
        <f>D106/D102*100</f>
        <v>17.151777203718755</v>
      </c>
      <c r="F106" s="84">
        <f t="shared" si="15"/>
        <v>78.45813586097906</v>
      </c>
      <c r="G106" s="84">
        <f t="shared" si="12"/>
        <v>65.26835935446539</v>
      </c>
      <c r="H106" s="123">
        <f>B106-D106</f>
        <v>340.9000000000069</v>
      </c>
      <c r="I106" s="123">
        <f t="shared" si="14"/>
        <v>660.7000000000053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414709.1000000001</v>
      </c>
      <c r="C107" s="81">
        <f>SUM(C108:C148)-C115-C119+C149-C140-C141-C109-C112-C122-C123-C138-C131-C129-C136</f>
        <v>520252.6</v>
      </c>
      <c r="D107" s="81">
        <f>SUM(D108:D148)-D115-D119+D149-D140-D141-D109-D112-D122-D123-D138-D131-D129-D136</f>
        <v>371446.20000000007</v>
      </c>
      <c r="E107" s="82">
        <f>D107/D151*100</f>
        <v>27.313666605879135</v>
      </c>
      <c r="F107" s="82">
        <f>D107/B107*100</f>
        <v>89.56789228883572</v>
      </c>
      <c r="G107" s="82">
        <f t="shared" si="12"/>
        <v>71.39727893719322</v>
      </c>
      <c r="H107" s="81">
        <f t="shared" si="13"/>
        <v>43262.90000000002</v>
      </c>
      <c r="I107" s="81">
        <f t="shared" si="14"/>
        <v>148806.3999999999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</f>
        <v>1653.4000000000003</v>
      </c>
      <c r="E108" s="6">
        <f>D108/D107*100</f>
        <v>0.4451250275275397</v>
      </c>
      <c r="F108" s="6">
        <f t="shared" si="15"/>
        <v>52.08215208215209</v>
      </c>
      <c r="G108" s="6">
        <f t="shared" si="12"/>
        <v>40.37015333528666</v>
      </c>
      <c r="H108" s="61">
        <f aca="true" t="shared" si="16" ref="H108:H149">B108-D108</f>
        <v>1521.1999999999996</v>
      </c>
      <c r="I108" s="61">
        <f t="shared" si="14"/>
        <v>2442.2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41.1152776097738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11.8+87.5+28+44.4+7.5+8.9+32.2+39.5+59.2+220.2+6.2+18.8+4.5+75.4</f>
        <v>644.1</v>
      </c>
      <c r="E110" s="6">
        <f>D110/D107*100</f>
        <v>0.17340330847374397</v>
      </c>
      <c r="F110" s="6">
        <f>D110/B110*100</f>
        <v>64.81183336687462</v>
      </c>
      <c r="G110" s="6">
        <f t="shared" si="12"/>
        <v>54.798366513527306</v>
      </c>
      <c r="H110" s="61">
        <f t="shared" si="16"/>
        <v>349.69999999999993</v>
      </c>
      <c r="I110" s="61">
        <f t="shared" si="14"/>
        <v>531.3000000000001</v>
      </c>
    </row>
    <row r="111" spans="1:9" s="37" customFormat="1" ht="34.5" customHeight="1">
      <c r="A111" s="16" t="s">
        <v>97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0.008211148747786353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136.4+40+10+2+0.1+10.6+142+54.3+10.6+6.6+21.9+41.3+8.2+239.5+0.2+6.2+0.7+26.9+145.7+54.9+4+2+1.1+3.5+2.2+195.9+3.8+0.4+0.2+181.5+10+1.7+7.3+203.7+0.1+6.2+185.1+14.5+72+29.1+0.3+192.4+4.9</f>
        <v>2080</v>
      </c>
      <c r="E114" s="6">
        <f>D114/D107*100</f>
        <v>0.5599734227998562</v>
      </c>
      <c r="F114" s="6">
        <f t="shared" si="15"/>
        <v>83.77638150475269</v>
      </c>
      <c r="G114" s="6">
        <f t="shared" si="12"/>
        <v>69.34489081513586</v>
      </c>
      <c r="H114" s="61">
        <f t="shared" si="16"/>
        <v>402.8000000000002</v>
      </c>
      <c r="I114" s="61">
        <f t="shared" si="14"/>
        <v>919.5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f>199-80</f>
        <v>119</v>
      </c>
      <c r="C117" s="61">
        <f>99+100-80</f>
        <v>119</v>
      </c>
      <c r="D117" s="72">
        <f>18</f>
        <v>18</v>
      </c>
      <c r="E117" s="6">
        <f>D117/D107*100</f>
        <v>0.004845923851152602</v>
      </c>
      <c r="F117" s="6">
        <f>D117/B117*100</f>
        <v>15.126050420168067</v>
      </c>
      <c r="G117" s="6">
        <f t="shared" si="12"/>
        <v>15.126050420168067</v>
      </c>
      <c r="H117" s="61">
        <f t="shared" si="16"/>
        <v>101</v>
      </c>
      <c r="I117" s="61">
        <f t="shared" si="14"/>
        <v>101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39+5+6.2+39.1+4.9+0.4+0.8+39+0.1+5.5+0.9+39+4.8+1.3+39-0.1+0.8+0.4+5+0.8+5.1+0.2+0.4+2.2+3.5+39+0.4+3+0.8+39+6+0.3-0.1</f>
        <v>331.70000000000005</v>
      </c>
      <c r="E118" s="6">
        <f>D118/D107*100</f>
        <v>0.08929960785707325</v>
      </c>
      <c r="F118" s="6">
        <f t="shared" si="15"/>
        <v>99.07407407407408</v>
      </c>
      <c r="G118" s="6">
        <f t="shared" si="12"/>
        <v>78.4531693472091</v>
      </c>
      <c r="H118" s="61">
        <f t="shared" si="16"/>
        <v>3.099999999999966</v>
      </c>
      <c r="I118" s="61">
        <f t="shared" si="14"/>
        <v>91.09999999999997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82.363581549593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98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0.028644794320146497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99</v>
      </c>
      <c r="B124" s="73">
        <f>33189.6+100</f>
        <v>33289.6</v>
      </c>
      <c r="C124" s="53">
        <f>33585.8+9933.2-1212.8-350-61.4+460.5</f>
        <v>42355.299999999996</v>
      </c>
      <c r="D124" s="76">
        <f>3483.8+2635.6+1853.3+812.9+1333.3+1694.1+1722.4+661.9+934+1328+225+1781.5+1097.2+0.1+1902.6+1343+1822.5+1392+1771.1+3307.3+1386.4</f>
        <v>32487.999999999996</v>
      </c>
      <c r="E124" s="17">
        <f>D124/D107*100</f>
        <v>8.746354115346984</v>
      </c>
      <c r="F124" s="6">
        <f t="shared" si="15"/>
        <v>97.5920407574738</v>
      </c>
      <c r="G124" s="6">
        <f t="shared" si="12"/>
        <v>76.70350581863427</v>
      </c>
      <c r="H124" s="61">
        <f t="shared" si="16"/>
        <v>801.6000000000022</v>
      </c>
      <c r="I124" s="61">
        <f t="shared" si="14"/>
        <v>9867.3</v>
      </c>
    </row>
    <row r="125" spans="1:9" s="2" customFormat="1" ht="18">
      <c r="A125" s="16" t="s">
        <v>95</v>
      </c>
      <c r="B125" s="73">
        <f>695-4.6</f>
        <v>690.4</v>
      </c>
      <c r="C125" s="53">
        <f>585+110-4.6</f>
        <v>690.4</v>
      </c>
      <c r="D125" s="76">
        <f>10+6+64.3</f>
        <v>80.3</v>
      </c>
      <c r="E125" s="17">
        <f>D125/D107*100</f>
        <v>0.021618204735975217</v>
      </c>
      <c r="F125" s="6">
        <f t="shared" si="15"/>
        <v>11.630938586326767</v>
      </c>
      <c r="G125" s="6">
        <f t="shared" si="12"/>
        <v>11.630938586326767</v>
      </c>
      <c r="H125" s="61">
        <f t="shared" si="16"/>
        <v>610.1</v>
      </c>
      <c r="I125" s="61">
        <f t="shared" si="14"/>
        <v>610.1</v>
      </c>
    </row>
    <row r="126" spans="1:12" s="2" customFormat="1" ht="36.75">
      <c r="A126" s="16" t="s">
        <v>104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0.005303594437094792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6.5+6.7+0.9+10.2+6.4+2.4+29+2.5+26.7+1.1+7.5+20.9+3.3+0.1+0.6+54.3+6.4+19+6.4-0.2+0.9+1+0.1+24+11.8+60.3+1.8+4+2+10.5+0.5+0.1+1.1+56.8+0.1-0.1+8.7+10.4+6.4+43.4+6.5+23.9+0.2+0.1+0.2+49.2</f>
        <v>534.6</v>
      </c>
      <c r="E128" s="17">
        <f>D128/D107*100</f>
        <v>0.14392393837923229</v>
      </c>
      <c r="F128" s="6">
        <f t="shared" si="15"/>
        <v>52.587054888845174</v>
      </c>
      <c r="G128" s="6">
        <f t="shared" si="12"/>
        <v>47.25536992840096</v>
      </c>
      <c r="H128" s="61">
        <f t="shared" si="16"/>
        <v>482</v>
      </c>
      <c r="I128" s="61">
        <f t="shared" si="14"/>
        <v>596.6999999999999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6.4+6.4+6.4+6.4+6.4+24+6.4+56.8+6.4+6.4+6.5+42.1</f>
        <v>180.6</v>
      </c>
      <c r="E129" s="1">
        <f>D129/D128*100</f>
        <v>33.78226711560045</v>
      </c>
      <c r="F129" s="1">
        <f>D129/B129*100</f>
        <v>77.91199309749783</v>
      </c>
      <c r="G129" s="1">
        <f t="shared" si="12"/>
        <v>53.4952606635071</v>
      </c>
      <c r="H129" s="44">
        <f t="shared" si="16"/>
        <v>51.20000000000002</v>
      </c>
      <c r="I129" s="44">
        <f t="shared" si="14"/>
        <v>157.00000000000003</v>
      </c>
    </row>
    <row r="130" spans="1:9" s="2" customFormat="1" ht="36.75">
      <c r="A130" s="16" t="s">
        <v>110</v>
      </c>
      <c r="B130" s="73">
        <v>200</v>
      </c>
      <c r="C130" s="53">
        <v>200</v>
      </c>
      <c r="D130" s="76"/>
      <c r="E130" s="17">
        <f>D130/D107*100</f>
        <v>0</v>
      </c>
      <c r="F130" s="124">
        <f t="shared" si="15"/>
        <v>0</v>
      </c>
      <c r="G130" s="6">
        <f t="shared" si="12"/>
        <v>0</v>
      </c>
      <c r="H130" s="61">
        <f t="shared" si="16"/>
        <v>200</v>
      </c>
      <c r="I130" s="61">
        <f t="shared" si="14"/>
        <v>200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106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105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0.24934970394097444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f>90.1+250</f>
        <v>340.1</v>
      </c>
      <c r="C134" s="53">
        <f>108.1+250</f>
        <v>358.1</v>
      </c>
      <c r="D134" s="76">
        <f>3.8+10.3+1.3+2-0.1+1.7+6.8</f>
        <v>25.8</v>
      </c>
      <c r="E134" s="17">
        <f>D134/D107*100</f>
        <v>0.006945824186652064</v>
      </c>
      <c r="F134" s="6">
        <f t="shared" si="15"/>
        <v>7.586004116436341</v>
      </c>
      <c r="G134" s="6">
        <f t="shared" si="12"/>
        <v>7.204691426975705</v>
      </c>
      <c r="H134" s="61">
        <f t="shared" si="16"/>
        <v>314.3</v>
      </c>
      <c r="I134" s="61">
        <f t="shared" si="14"/>
        <v>332.3</v>
      </c>
    </row>
    <row r="135" spans="1:9" s="2" customFormat="1" ht="39" customHeight="1">
      <c r="A135" s="16" t="s">
        <v>55</v>
      </c>
      <c r="B135" s="73">
        <f>470-200</f>
        <v>270</v>
      </c>
      <c r="C135" s="53">
        <f>626.8-200</f>
        <v>426.79999999999995</v>
      </c>
      <c r="D135" s="76">
        <f>1.2+14.1+4+6.1+23.5</f>
        <v>48.9</v>
      </c>
      <c r="E135" s="17">
        <f>D135/D107*100</f>
        <v>0.013164759795631234</v>
      </c>
      <c r="F135" s="6">
        <f t="shared" si="15"/>
        <v>18.11111111111111</v>
      </c>
      <c r="G135" s="6">
        <f t="shared" si="12"/>
        <v>11.457357075913778</v>
      </c>
      <c r="H135" s="61">
        <f t="shared" si="16"/>
        <v>221.1</v>
      </c>
      <c r="I135" s="61">
        <f t="shared" si="14"/>
        <v>377.9</v>
      </c>
    </row>
    <row r="136" spans="1:9" s="32" customFormat="1" ht="18">
      <c r="A136" s="23" t="s">
        <v>89</v>
      </c>
      <c r="B136" s="74">
        <f>310-142.4</f>
        <v>167.6</v>
      </c>
      <c r="C136" s="44">
        <f>400-142.4</f>
        <v>257.6</v>
      </c>
      <c r="D136" s="75">
        <f>1.2+4+6.1+23.5</f>
        <v>34.8</v>
      </c>
      <c r="E136" s="1"/>
      <c r="F136" s="6">
        <f>D136/B136*100</f>
        <v>20.763723150357993</v>
      </c>
      <c r="G136" s="1">
        <f>D136/C136*100</f>
        <v>13.509316770186333</v>
      </c>
      <c r="H136" s="44">
        <f>B136-D136</f>
        <v>132.8</v>
      </c>
      <c r="I136" s="44">
        <f>C136-D136</f>
        <v>222.8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0.5+1.3+15.9+33.5+3+0.6+15.2+1.3+36.5+1.9+0.3+0.3+0.6+5+2+16.5+0.1+0.5+1.2+18.6-0.1+0.3+0.5+0.5+16+2+17.3+2.1+0.4+0.7+25.9+2.2+17.9+2.1+0.8+15.3</f>
        <v>258.7</v>
      </c>
      <c r="E137" s="17">
        <f>D137/D107*100</f>
        <v>0.06964669446073211</v>
      </c>
      <c r="F137" s="6">
        <f>D137/B137*100</f>
        <v>82.6517571884984</v>
      </c>
      <c r="G137" s="6">
        <f>D137/C137*100</f>
        <v>67.86463798530956</v>
      </c>
      <c r="H137" s="61">
        <f t="shared" si="16"/>
        <v>54.30000000000001</v>
      </c>
      <c r="I137" s="61">
        <f t="shared" si="14"/>
        <v>122.5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15.9+33.5+15.2+36.5+0.3+4.6+16.5-0.1+1.2+16+0.3+16+0.1+16.2+0.3+25.4+16.9+0.3+14.8</f>
        <v>229.90000000000003</v>
      </c>
      <c r="E138" s="1">
        <f>D138/D137*100</f>
        <v>88.86741399304215</v>
      </c>
      <c r="F138" s="1">
        <f t="shared" si="15"/>
        <v>91.52070063694269</v>
      </c>
      <c r="G138" s="1">
        <f>D138/C138*100</f>
        <v>75.10617445279321</v>
      </c>
      <c r="H138" s="44">
        <f t="shared" si="16"/>
        <v>21.299999999999955</v>
      </c>
      <c r="I138" s="44">
        <f t="shared" si="14"/>
        <v>76.19999999999999</v>
      </c>
    </row>
    <row r="139" spans="1:9" s="2" customFormat="1" ht="18">
      <c r="A139" s="16" t="s">
        <v>100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26+59.9+0.4-0.1+0.1+27.3+5.8+57.7+6.3+46.3+13.6+50.5+6-0.1+43.3+3.1+0.2+52.2+16.7+42.4+4.7+8+55+5.3+39.2+0.5+5+82.1+95.1+0.2+73.5+79.4+74.3-0.2+13.8+17.8+27+18+79.9+50.5+8.2</f>
        <v>1194.8999999999999</v>
      </c>
      <c r="E139" s="17">
        <f>D139/D107*100</f>
        <v>0.32168857831901354</v>
      </c>
      <c r="F139" s="6">
        <f t="shared" si="15"/>
        <v>92.99556385710949</v>
      </c>
      <c r="G139" s="6">
        <f t="shared" si="12"/>
        <v>78.99642998809995</v>
      </c>
      <c r="H139" s="61">
        <f t="shared" si="16"/>
        <v>90.00000000000023</v>
      </c>
      <c r="I139" s="61">
        <f t="shared" si="14"/>
        <v>317.7000000000003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26+59.9+27.3+57.1-0.1+46.3+42.7-0.1+36.4+51.8+8.5+28+53.1+4.3+35.3+82.1+45.8+73.5+42.3+73.9-0.1+13.8+27+76+32.8+8.2</f>
        <v>951.7999999999998</v>
      </c>
      <c r="E140" s="1">
        <f>D140/D139*100</f>
        <v>79.65520127207297</v>
      </c>
      <c r="F140" s="1">
        <f aca="true" t="shared" si="17" ref="F140:F148">D140/B140*100</f>
        <v>94.83858110801114</v>
      </c>
      <c r="G140" s="1">
        <f t="shared" si="12"/>
        <v>80.74997879019257</v>
      </c>
      <c r="H140" s="44">
        <f t="shared" si="16"/>
        <v>51.80000000000018</v>
      </c>
      <c r="I140" s="44">
        <f t="shared" si="14"/>
        <v>226.9000000000002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1.6068290233492342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f>1873.1-1001</f>
        <v>872.0999999999999</v>
      </c>
      <c r="C142" s="53">
        <f>200+300+1250+175-1001</f>
        <v>924</v>
      </c>
      <c r="D142" s="76">
        <f>300+200+174+176.9</f>
        <v>850.9</v>
      </c>
      <c r="E142" s="17">
        <f>D142/D107*100</f>
        <v>0.22907758916365273</v>
      </c>
      <c r="F142" s="99">
        <f t="shared" si="17"/>
        <v>97.56908611397776</v>
      </c>
      <c r="G142" s="6">
        <f t="shared" si="12"/>
        <v>92.08874458874459</v>
      </c>
      <c r="H142" s="61">
        <f t="shared" si="16"/>
        <v>21.199999999999932</v>
      </c>
      <c r="I142" s="61">
        <f t="shared" si="14"/>
        <v>73.10000000000002</v>
      </c>
    </row>
    <row r="143" spans="1:9" s="2" customFormat="1" ht="18" hidden="1">
      <c r="A143" s="18" t="s">
        <v>96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101</v>
      </c>
      <c r="B144" s="73">
        <f>44928.9+399.1-2053.4</f>
        <v>43274.6</v>
      </c>
      <c r="C144" s="53">
        <f>67967+150-2500-1878-220-5896.7+475+3501.1</f>
        <v>61598.4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</f>
        <v>34290.299999999996</v>
      </c>
      <c r="E144" s="17">
        <f>D144/D107*100</f>
        <v>9.231565701843225</v>
      </c>
      <c r="F144" s="99">
        <f t="shared" si="17"/>
        <v>79.23886067115582</v>
      </c>
      <c r="G144" s="6">
        <f t="shared" si="12"/>
        <v>55.667517338112674</v>
      </c>
      <c r="H144" s="61">
        <f t="shared" si="16"/>
        <v>8984.300000000003</v>
      </c>
      <c r="I144" s="61">
        <f t="shared" si="14"/>
        <v>27308.100000000006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11" s="2" customFormat="1" ht="18">
      <c r="A146" s="16" t="s">
        <v>102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0.03564446210514469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  <c r="K146" s="129"/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</f>
        <v>8989.4</v>
      </c>
      <c r="E147" s="17">
        <f>D147/D107*100</f>
        <v>2.4201082148639554</v>
      </c>
      <c r="F147" s="99">
        <f t="shared" si="17"/>
        <v>98.3297054287308</v>
      </c>
      <c r="G147" s="6">
        <f t="shared" si="12"/>
        <v>85.20112218978656</v>
      </c>
      <c r="H147" s="61">
        <f t="shared" si="16"/>
        <v>152.70000000000073</v>
      </c>
      <c r="I147" s="61">
        <f t="shared" si="14"/>
        <v>1561.3999999999996</v>
      </c>
      <c r="K147" s="38"/>
      <c r="L147" s="38"/>
    </row>
    <row r="148" spans="1:12" s="2" customFormat="1" ht="19.5" customHeight="1">
      <c r="A148" s="16" t="s">
        <v>51</v>
      </c>
      <c r="B148" s="73">
        <f>285791.2+1734.2+404.3+2053.4</f>
        <v>289983.10000000003</v>
      </c>
      <c r="C148" s="53">
        <f>376354.8-1000+14285.9-198-200-300-15786.4-2950-2519.8+7938.3-13756.7+0.7+204.9-2656</f>
        <v>359417.7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</f>
        <v>263809.10000000003</v>
      </c>
      <c r="E148" s="17">
        <f>D148/D107*100</f>
        <v>71.02215610228345</v>
      </c>
      <c r="F148" s="6">
        <f t="shared" si="17"/>
        <v>90.9739567581697</v>
      </c>
      <c r="G148" s="6">
        <f t="shared" si="12"/>
        <v>73.39902848412864</v>
      </c>
      <c r="H148" s="61">
        <f t="shared" si="16"/>
        <v>26174</v>
      </c>
      <c r="I148" s="61">
        <f t="shared" si="14"/>
        <v>95608.59999999998</v>
      </c>
      <c r="K148" s="91"/>
      <c r="L148" s="38"/>
    </row>
    <row r="149" spans="1:12" s="2" customFormat="1" ht="18">
      <c r="A149" s="16" t="s">
        <v>103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</f>
        <v>22932.899999999998</v>
      </c>
      <c r="E149" s="17">
        <f>D149/D107*100</f>
        <v>6.173949282560972</v>
      </c>
      <c r="F149" s="6">
        <f t="shared" si="15"/>
        <v>93.33319767205242</v>
      </c>
      <c r="G149" s="6">
        <f t="shared" si="12"/>
        <v>77.77766472671034</v>
      </c>
      <c r="H149" s="61">
        <f t="shared" si="16"/>
        <v>1638.1000000000022</v>
      </c>
      <c r="I149" s="61">
        <f t="shared" si="14"/>
        <v>6552.300000000003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426889.70000000007</v>
      </c>
      <c r="C150" s="77">
        <f>C43+C69+C72+C77+C79+C87+C102+C107+C100+C84+C98</f>
        <v>534209.1</v>
      </c>
      <c r="D150" s="53">
        <f>D43+D69+D72+D77+D79+D87+D102+D107+D100+D84+D98</f>
        <v>380265.30000000005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1545641.2000000004</v>
      </c>
      <c r="C151" s="47">
        <f>C6+C18+C33+C43+C51+C59+C69+C72+C77+C79+C87+C90+C95+C102+C107+C100+C84+C98+C45</f>
        <v>1878779.0999999996</v>
      </c>
      <c r="D151" s="47">
        <f>D6+D18+D33+D43+D51+D59+D69+D72+D77+D79+D87+D90+D95+D102+D107+D100+D84+D98+D45</f>
        <v>1359928.0000000002</v>
      </c>
      <c r="E151" s="31">
        <v>100</v>
      </c>
      <c r="F151" s="3">
        <f>D151/B151*100</f>
        <v>87.98471469316422</v>
      </c>
      <c r="G151" s="3">
        <f aca="true" t="shared" si="18" ref="G151:G157">D151/C151*100</f>
        <v>72.38360273435023</v>
      </c>
      <c r="H151" s="47">
        <f aca="true" t="shared" si="19" ref="H151:H157">B151-D151</f>
        <v>185713.2000000002</v>
      </c>
      <c r="I151" s="47">
        <f aca="true" t="shared" si="20" ref="I151:I157">C151-D151</f>
        <v>518851.0999999994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614073.7999999999</v>
      </c>
      <c r="C152" s="60">
        <f>C8+C20+C34+C52+C60+C91+C115+C119+C46+C140+C131+C103</f>
        <v>735951.9999999999</v>
      </c>
      <c r="D152" s="60">
        <f>D8+D20+D34+D52+D60+D91+D115+D119+D46+D140+D131+D103</f>
        <v>536748.9999999999</v>
      </c>
      <c r="E152" s="6">
        <f>D152/D151*100</f>
        <v>39.468927766764104</v>
      </c>
      <c r="F152" s="6">
        <f aca="true" t="shared" si="21" ref="F152:F157">D152/B152*100</f>
        <v>87.40789787807263</v>
      </c>
      <c r="G152" s="6">
        <f t="shared" si="18"/>
        <v>72.93260973541751</v>
      </c>
      <c r="H152" s="61">
        <f t="shared" si="19"/>
        <v>77324.80000000005</v>
      </c>
      <c r="I152" s="72">
        <f t="shared" si="20"/>
        <v>199203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71207.5</v>
      </c>
      <c r="C153" s="61">
        <f>C11+C23+C36+C55+C62+C92+C49+C141+C109+C112+C96+C138</f>
        <v>98487.8</v>
      </c>
      <c r="D153" s="61">
        <f>D11+D23+D36+D55+D62+D92+D49+D141+D109+D112+D96+D138</f>
        <v>60516.00000000001</v>
      </c>
      <c r="E153" s="6">
        <f>D153/D151*100</f>
        <v>4.449941467489455</v>
      </c>
      <c r="F153" s="6">
        <f t="shared" si="21"/>
        <v>84.98542990555771</v>
      </c>
      <c r="G153" s="6">
        <f t="shared" si="18"/>
        <v>61.445173920018526</v>
      </c>
      <c r="H153" s="61">
        <f t="shared" si="19"/>
        <v>10691.499999999993</v>
      </c>
      <c r="I153" s="72">
        <f t="shared" si="20"/>
        <v>37971.799999999996</v>
      </c>
      <c r="K153" s="39"/>
      <c r="L153" s="90"/>
    </row>
    <row r="154" spans="1:12" ht="18">
      <c r="A154" s="18" t="s">
        <v>1</v>
      </c>
      <c r="B154" s="60">
        <f>B22+B10+B54+B48+B61+B35+B123</f>
        <v>28585.9</v>
      </c>
      <c r="C154" s="60">
        <f>C22+C10+C54+C48+C61+C35+C123</f>
        <v>31719.100000000002</v>
      </c>
      <c r="D154" s="60">
        <f>D22+D10+D54+D48+D61+D35+D123</f>
        <v>24353.399999999998</v>
      </c>
      <c r="E154" s="6">
        <f>D154/D151*100</f>
        <v>1.7907859827873236</v>
      </c>
      <c r="F154" s="6">
        <f t="shared" si="21"/>
        <v>85.19374936594613</v>
      </c>
      <c r="G154" s="6">
        <f t="shared" si="18"/>
        <v>76.77834490890345</v>
      </c>
      <c r="H154" s="61">
        <f t="shared" si="19"/>
        <v>4232.500000000004</v>
      </c>
      <c r="I154" s="72">
        <f t="shared" si="20"/>
        <v>7365.700000000004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19894.299999999992</v>
      </c>
      <c r="C155" s="60">
        <f>C12+C24+C104+C63+C38+C93+C129+C56+C136</f>
        <v>24182.6</v>
      </c>
      <c r="D155" s="60">
        <f>D12+D24+D104+D63+D38+D93+D129+D56+D136</f>
        <v>16251.099999999995</v>
      </c>
      <c r="E155" s="6">
        <f>D155/D151*100</f>
        <v>1.1949970880811331</v>
      </c>
      <c r="F155" s="6">
        <f t="shared" si="21"/>
        <v>81.68721694153602</v>
      </c>
      <c r="G155" s="6">
        <f t="shared" si="18"/>
        <v>67.20162430838701</v>
      </c>
      <c r="H155" s="61">
        <f>B155-D155</f>
        <v>3643.199999999997</v>
      </c>
      <c r="I155" s="72">
        <f t="shared" si="20"/>
        <v>7931.500000000004</v>
      </c>
      <c r="K155" s="39"/>
      <c r="L155" s="90"/>
    </row>
    <row r="156" spans="1:12" ht="18">
      <c r="A156" s="18" t="s">
        <v>2</v>
      </c>
      <c r="B156" s="60">
        <f>B9+B21+B47+B53+B122</f>
        <v>96.89999999999999</v>
      </c>
      <c r="C156" s="60">
        <f>C9+C21+C47+C53+C122</f>
        <v>105.7</v>
      </c>
      <c r="D156" s="60">
        <f>D9+D21+D47+D53+D122</f>
        <v>45.4</v>
      </c>
      <c r="E156" s="6">
        <f>D156/D151*100</f>
        <v>0.003338412033578247</v>
      </c>
      <c r="F156" s="6">
        <f t="shared" si="21"/>
        <v>46.85242518059856</v>
      </c>
      <c r="G156" s="6">
        <f t="shared" si="18"/>
        <v>42.95175023651844</v>
      </c>
      <c r="H156" s="61">
        <f t="shared" si="19"/>
        <v>51.49999999999999</v>
      </c>
      <c r="I156" s="72">
        <f t="shared" si="20"/>
        <v>60.300000000000004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811782.8000000004</v>
      </c>
      <c r="C157" s="78">
        <f>C151-C152-C153-C154-C155-C156</f>
        <v>988331.8999999997</v>
      </c>
      <c r="D157" s="78">
        <f>D151-D152-D153-D154-D155-D156</f>
        <v>722013.1000000003</v>
      </c>
      <c r="E157" s="36">
        <f>D157/D151*100</f>
        <v>53.0920092828444</v>
      </c>
      <c r="F157" s="36">
        <f t="shared" si="21"/>
        <v>88.94166025690615</v>
      </c>
      <c r="G157" s="36">
        <f t="shared" si="18"/>
        <v>73.05370796996439</v>
      </c>
      <c r="H157" s="126">
        <f t="shared" si="19"/>
        <v>89769.70000000007</v>
      </c>
      <c r="I157" s="126">
        <f t="shared" si="20"/>
        <v>266318.79999999935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1878779.0999999996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1359928.0000000002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1878779.0999999996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1359928.0000000002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2017-10-19T12:54:09Z</cp:lastPrinted>
  <dcterms:created xsi:type="dcterms:W3CDTF">2000-06-20T04:48:00Z</dcterms:created>
  <dcterms:modified xsi:type="dcterms:W3CDTF">2017-10-20T09:41:12Z</dcterms:modified>
  <cp:category/>
  <cp:version/>
  <cp:contentType/>
  <cp:contentStatus/>
</cp:coreProperties>
</file>